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<sst xmlns="http://schemas.openxmlformats.org/spreadsheetml/2006/main" count="171" uniqueCount="123">
  <si>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</si>
  <si>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</si>
  <si>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</si>
  <si>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</si>
  <si>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</si>
  <si>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</si>
  <si>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</si>
  <si>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</si>
  <si>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</si>
  <si>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</si>
  <si>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</si>
  <si>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</si>
  <si>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</si>
  <si>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</si>
  <si>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</si>
  <si>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</si>
  <si>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</si>
  <si>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</si>
  <si>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</si>
  <si>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</si>
  <si>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</si>
  <si>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</si>
  <si>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</si>
  <si>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</si>
  <si>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</si>
  <si>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</si>
  <si>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</si>
  <si>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</si>
  <si>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</si>
  <si>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</si>
  <si>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</si>
  <si>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</si>
  <si>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</si>
  <si>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</si>
  <si>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</si>
  <si>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</si>
  <si>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</si>
  <si>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</si>
  <si>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</si>
  <si>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</si>
  <si>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</si>
  <si>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</si>
  <si>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</si>
  <si>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</si>
  <si>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</si>
  <si>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</si>
  <si>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</si>
  <si>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</si>
  <si>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</si>
  <si>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</si>
  <si>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</si>
  <si>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</si>
  <si>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</si>
  <si>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</si>
  <si>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</si>
  <si>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</si>
  <si>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</si>
  <si>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</si>
  <si>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</si>
  <si>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</si>
  <si>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</si>
  <si>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</si>
  <si>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</si>
  <si>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</si>
  <si>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</si>
  <si>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</si>
  <si>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</si>
  <si>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</si>
  <si>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</si>
  <si>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</si>
  <si>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</si>
  <si>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</si>
  <si>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</si>
  <si>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</si>
  <si>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</si>
  <si>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</si>
  <si>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</si>
  <si>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</si>
  <si>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</si>
  <si>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</si>
  <si>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</si>
  <si>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</si>
  <si>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</si>
  <si>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</si>
  <si>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</si>
  <si>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</si>
  <si>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</si>
  <si>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</si>
  <si>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</si>
  <si>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</si>
  <si>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</si>
  <si>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</si>
  <si>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</si>
  <si>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</si>
  <si>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</si>
  <si>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</si>
  <si>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</si>
  <si>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</si>
  <si>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</si>
  <si>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</si>
  <si>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</si>
  <si>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</si>
  <si>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</si>
  <si>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</si>
  <si>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</si>
  <si>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</si>
  <si>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</si>
  <si>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</si>
  <si>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</si>
  <si>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</si>
  <si>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</si>
  <si>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</si>
  <si>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</si>
  <si>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</si>
  <si>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</si>
  <si>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</si>
  <si>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</si>
  <si>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</si>
  <si>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</si>
  <si>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</si>
  <si>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</si>
  <si>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</si>
  <si>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Аналіз використання коштів міського бюджету за 2016 рік станом на 23.03.2016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</si>
</sst>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9558517"/>
        <c:axId val="18917790"/>
      </c:bar3DChart>
      <c:catAx>
        <c:axId val="955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17790"/>
        <c:crosses val="autoZero"/>
        <c:auto val="1"/>
        <c:lblOffset val="100"/>
        <c:tickLblSkip val="1"/>
        <c:noMultiLvlLbl val="0"/>
      </c:catAx>
      <c:valAx>
        <c:axId val="18917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85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36042383"/>
        <c:axId val="55945992"/>
      </c:bar3D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45992"/>
        <c:crosses val="autoZero"/>
        <c:auto val="1"/>
        <c:lblOffset val="100"/>
        <c:tickLblSkip val="1"/>
        <c:noMultiLvlLbl val="0"/>
      </c:catAx>
      <c:valAx>
        <c:axId val="55945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33751881"/>
        <c:axId val="35331474"/>
      </c:bar3D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49547811"/>
        <c:axId val="43277116"/>
      </c:bar3DChart>
      <c:catAx>
        <c:axId val="4954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77116"/>
        <c:crosses val="autoZero"/>
        <c:auto val="1"/>
        <c:lblOffset val="100"/>
        <c:tickLblSkip val="1"/>
        <c:noMultiLvlLbl val="0"/>
      </c:catAx>
      <c:valAx>
        <c:axId val="43277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7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53949725"/>
        <c:axId val="15785478"/>
      </c:bar3D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85478"/>
        <c:crosses val="autoZero"/>
        <c:auto val="1"/>
        <c:lblOffset val="100"/>
        <c:tickLblSkip val="2"/>
        <c:noMultiLvlLbl val="0"/>
      </c:catAx>
      <c:valAx>
        <c:axId val="15785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7851575"/>
        <c:axId val="3555312"/>
      </c:bar3DChart>
      <c:catAx>
        <c:axId val="78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31997809"/>
        <c:axId val="19544826"/>
      </c:bar3D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41685707"/>
        <c:axId val="39627044"/>
      </c:bar3D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21099077"/>
        <c:axId val="55673966"/>
      </c:bar3D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73966"/>
        <c:crosses val="autoZero"/>
        <c:auto val="1"/>
        <c:lblOffset val="100"/>
        <c:tickLblSkip val="1"/>
        <c:noMultiLvlLbl val="0"/>
      </c:catAx>
      <c:valAx>
        <c:axId val="55673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8" sqref="B12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116</v>
      </c>
      <c r="C3" s="135" t="s">
        <v>112</v>
      </c>
      <c r="D3" s="135" t="s">
        <v>28</v>
      </c>
      <c r="E3" s="135" t="s">
        <v>27</v>
      </c>
      <c r="F3" s="135" t="s">
        <v>117</v>
      </c>
      <c r="G3" s="135" t="s">
        <v>114</v>
      </c>
      <c r="H3" s="135" t="s">
        <v>118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114665.2+25</f>
        <v>114690.2</v>
      </c>
      <c r="C6" s="50">
        <f>426773.1+25</f>
        <v>426798.1</v>
      </c>
      <c r="D6" s="51">
        <f>3665.2+5419.3+785.5+220.1+4705.1+6727.5+675.5+217.6+0.2+117.8+63.8+2988.6+54.7+4050.2+6796.2+2.3+3434.8+4933.2+160.9+167.4+314.1+2557.2+10885.5+1595.8+93.6-0.1+283.5+1215.4+0.6+12639.1+1592.4+1725+382.8+2437.5+657.3+293+1110.6</f>
        <v>82969.20000000001</v>
      </c>
      <c r="E6" s="3">
        <f>D6/D149*100</f>
        <v>37.73694408310667</v>
      </c>
      <c r="F6" s="3">
        <f>D6/B6*100</f>
        <v>72.34201352861885</v>
      </c>
      <c r="G6" s="3">
        <f aca="true" t="shared" si="0" ref="G6:G43">D6/C6*100</f>
        <v>19.439917844057884</v>
      </c>
      <c r="H6" s="51">
        <f>B6-D6</f>
        <v>31720.999999999985</v>
      </c>
      <c r="I6" s="51">
        <f aca="true" t="shared" si="1" ref="I6:I43">C6-D6</f>
        <v>343828.89999999997</v>
      </c>
    </row>
    <row r="7" spans="1:9" s="41" customFormat="1" ht="18.75">
      <c r="A7" s="112" t="s">
        <v>98</v>
      </c>
      <c r="B7" s="105">
        <v>40821.3</v>
      </c>
      <c r="C7" s="102">
        <v>185717.4</v>
      </c>
      <c r="D7" s="113">
        <f>5419.3+86.3+97.4+56.7+6727.5+560.1+2.9+0.2+1.9+63.8+1046.3+6719.3+1648.4+0.1+3694.8+239.7+583.7+0.6+6625.2+702.1+382.8+87+367+343.9</f>
        <v>35457</v>
      </c>
      <c r="E7" s="103">
        <f>D7/D6*100</f>
        <v>42.73513544785293</v>
      </c>
      <c r="F7" s="103">
        <f>D7/B7*100</f>
        <v>86.85906622278074</v>
      </c>
      <c r="G7" s="103">
        <f>D7/C7*100</f>
        <v>19.091910612575884</v>
      </c>
      <c r="H7" s="113">
        <f>B7-D7</f>
        <v>5364.300000000003</v>
      </c>
      <c r="I7" s="113">
        <f t="shared" si="1"/>
        <v>150260.4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3665.2+5419.3+4645.9+6727.5+3.3+4022.1+5553.6+3348.6+2163.6+10156.4+7.2+0.6+10315.5+1</f>
        <v>56029.799999999996</v>
      </c>
      <c r="E8" s="1">
        <f>D8/D6*100</f>
        <v>67.53084277057026</v>
      </c>
      <c r="F8" s="1">
        <f>D8/B8*100</f>
        <v>79.67028357489502</v>
      </c>
      <c r="G8" s="1">
        <f t="shared" si="0"/>
        <v>18.796799265704426</v>
      </c>
      <c r="H8" s="48">
        <f>B8-D8</f>
        <v>14297.30000000001</v>
      </c>
      <c r="I8" s="48">
        <f t="shared" si="1"/>
        <v>242051.8</v>
      </c>
    </row>
    <row r="9" spans="1:9" ht="18">
      <c r="A9" s="26" t="s">
        <v>2</v>
      </c>
      <c r="B9" s="46">
        <v>14.8</v>
      </c>
      <c r="C9" s="47">
        <v>85.7</v>
      </c>
      <c r="D9" s="48">
        <f>4+2.9+1.6+0.5+0.5</f>
        <v>9.5</v>
      </c>
      <c r="E9" s="12">
        <f>D9/D6*100</f>
        <v>0.011450032060089767</v>
      </c>
      <c r="F9" s="128">
        <f>D9/B9*100</f>
        <v>64.1891891891892</v>
      </c>
      <c r="G9" s="1">
        <f t="shared" si="0"/>
        <v>11.085180863477245</v>
      </c>
      <c r="H9" s="48">
        <f aca="true" t="shared" si="2" ref="H9:H43">B9-D9</f>
        <v>5.300000000000001</v>
      </c>
      <c r="I9" s="48">
        <f t="shared" si="1"/>
        <v>76.2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345.3+106.4+54.5+56.4+92.4+115.9+196.4+52.1+68.7+86.2+0.1+55.3+64.8+145.1+546+625.6+89.3+262.4+197+554.9+204.6+131+84.2+167.8+234+244.3+224.6</f>
        <v>5005.300000000001</v>
      </c>
      <c r="E10" s="1">
        <f>D10/D6*100</f>
        <v>6.032720575828139</v>
      </c>
      <c r="F10" s="1">
        <f aca="true" t="shared" si="3" ref="F10:F41">D10/B10*100</f>
        <v>53.33809315757506</v>
      </c>
      <c r="G10" s="1">
        <f t="shared" si="0"/>
        <v>17.842362108730295</v>
      </c>
      <c r="H10" s="48">
        <f t="shared" si="2"/>
        <v>4378.799999999999</v>
      </c>
      <c r="I10" s="48">
        <f t="shared" si="1"/>
        <v>23047.6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435.2+111+615.5+123.2+0.2+1.9+63.8+2790+1.3+13.9+1170.1+0.8+3680.6+96.8+2.2+30.4+160.1+658.7+3.6+0.1+13.6+960.9+1669.6+874.3+1539.2+231.8+2136.6+6.8+729.7</f>
        <v>18121.9</v>
      </c>
      <c r="E11" s="1">
        <f>D11/D6*100</f>
        <v>21.84171957786745</v>
      </c>
      <c r="F11" s="1">
        <f t="shared" si="3"/>
        <v>65.09583746425852</v>
      </c>
      <c r="G11" s="1">
        <f t="shared" si="0"/>
        <v>25.290559739194023</v>
      </c>
      <c r="H11" s="48">
        <f t="shared" si="2"/>
        <v>9716.899999999998</v>
      </c>
      <c r="I11" s="48">
        <f t="shared" si="1"/>
        <v>53532.9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5+12.7+3.8+1250.6+160.8+241+218.1+277.6+20.3+413.8+8.3+240.5+24.8+2.5</f>
        <v>2879.8000000000006</v>
      </c>
      <c r="E12" s="1">
        <f>D12/D6*100</f>
        <v>3.470926560699633</v>
      </c>
      <c r="F12" s="1">
        <f t="shared" si="3"/>
        <v>77.84926470588238</v>
      </c>
      <c r="G12" s="1">
        <f t="shared" si="0"/>
        <v>19.57449700924416</v>
      </c>
      <c r="H12" s="48">
        <f t="shared" si="2"/>
        <v>819.3999999999992</v>
      </c>
      <c r="I12" s="48">
        <f t="shared" si="1"/>
        <v>11832.199999999999</v>
      </c>
    </row>
    <row r="13" spans="1:9" ht="18.75" thickBot="1">
      <c r="A13" s="26" t="s">
        <v>34</v>
      </c>
      <c r="B13" s="47">
        <f>B6-B8-B9-B10-B11-B12</f>
        <v>3426.1999999999907</v>
      </c>
      <c r="C13" s="47">
        <f>C6-C8-C9-C10-C11-C12</f>
        <v>14211.099999999991</v>
      </c>
      <c r="D13" s="47">
        <f>D6-D8-D9-D10-D11-D12</f>
        <v>922.900000000011</v>
      </c>
      <c r="E13" s="1">
        <f>D13/D6*100</f>
        <v>1.1123404829744181</v>
      </c>
      <c r="F13" s="1">
        <f t="shared" si="3"/>
        <v>26.936547778880787</v>
      </c>
      <c r="G13" s="1">
        <f t="shared" si="0"/>
        <v>6.494219307442855</v>
      </c>
      <c r="H13" s="48">
        <f t="shared" si="2"/>
        <v>2503.2999999999797</v>
      </c>
      <c r="I13" s="48">
        <f t="shared" si="1"/>
        <v>13288.19999999998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60429.7+416.5+102</f>
        <v>60948.2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</f>
        <v>50996.2</v>
      </c>
      <c r="E18" s="3">
        <f>D18/D149*100</f>
        <v>23.194640274353905</v>
      </c>
      <c r="F18" s="3">
        <f>D18/B18*100</f>
        <v>83.67137995871904</v>
      </c>
      <c r="G18" s="3">
        <f t="shared" si="0"/>
        <v>20.077923898210727</v>
      </c>
      <c r="H18" s="51">
        <f>B18-D18</f>
        <v>9952</v>
      </c>
      <c r="I18" s="51">
        <f t="shared" si="1"/>
        <v>202995.2</v>
      </c>
    </row>
    <row r="19" spans="1:9" s="41" customFormat="1" ht="18.75">
      <c r="A19" s="112" t="s">
        <v>99</v>
      </c>
      <c r="B19" s="105">
        <f>44470.7+102</f>
        <v>44572.7</v>
      </c>
      <c r="C19" s="102">
        <f>188049.2+2890.8</f>
        <v>190940</v>
      </c>
      <c r="D19" s="113">
        <f>5722.2+537+5375.9+205.8+772.6+85.2+565.7+282.3+110.6+420+5725.7+2458.6+4587.6+87.8+415.3+396.4+207.1+48.5+226+0.5+7534.4+5939.2</f>
        <v>41704.399999999994</v>
      </c>
      <c r="E19" s="103">
        <f>D19/D18*100</f>
        <v>81.77942670238174</v>
      </c>
      <c r="F19" s="103">
        <f t="shared" si="3"/>
        <v>93.56489510395376</v>
      </c>
      <c r="G19" s="103">
        <f t="shared" si="0"/>
        <v>21.841625641562793</v>
      </c>
      <c r="H19" s="113">
        <f t="shared" si="2"/>
        <v>2868.300000000003</v>
      </c>
      <c r="I19" s="113">
        <f t="shared" si="1"/>
        <v>149235.6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5722.2+1+8655.9+32.9+2.4+5725.7+8251+357.7+0.1+5829.5+27.9+3957</f>
        <v>38563.299999999996</v>
      </c>
      <c r="E20" s="1">
        <f>D20/D18*100</f>
        <v>75.61994815299963</v>
      </c>
      <c r="F20" s="1">
        <f t="shared" si="3"/>
        <v>86.14821318071033</v>
      </c>
      <c r="G20" s="1">
        <f t="shared" si="0"/>
        <v>20.661718494245378</v>
      </c>
      <c r="H20" s="48">
        <f t="shared" si="2"/>
        <v>6200.600000000006</v>
      </c>
      <c r="I20" s="48">
        <f t="shared" si="1"/>
        <v>148078</v>
      </c>
    </row>
    <row r="21" spans="1:9" ht="18">
      <c r="A21" s="26" t="s">
        <v>2</v>
      </c>
      <c r="B21" s="46">
        <f>4452.2+250</f>
        <v>4702.2</v>
      </c>
      <c r="C21" s="47">
        <f>20454.1+500</f>
        <v>20954.1</v>
      </c>
      <c r="D21" s="48">
        <f>80.5+183.6+169.4+194.4+100+1.7+148.4+215.7+278.3+117.8+152.1+196.9+0.1+12.4+249.4+61.7+746.5+93.7+472.5</f>
        <v>3475.0999999999995</v>
      </c>
      <c r="E21" s="1">
        <f>D21/D18*100</f>
        <v>6.814429310419206</v>
      </c>
      <c r="F21" s="1">
        <f t="shared" si="3"/>
        <v>73.90370464888775</v>
      </c>
      <c r="G21" s="1">
        <f t="shared" si="0"/>
        <v>16.584343875422945</v>
      </c>
      <c r="H21" s="48">
        <f t="shared" si="2"/>
        <v>1227.1000000000004</v>
      </c>
      <c r="I21" s="48">
        <f t="shared" si="1"/>
        <v>17479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127.7+23.6+33.5+86.7+19.5+2.9+68.3+78.1+10.6+165.4+2.5+6.5+60.2+104.3</f>
        <v>789.8</v>
      </c>
      <c r="E22" s="1">
        <f>D22/D18*100</f>
        <v>1.5487428475062848</v>
      </c>
      <c r="F22" s="1">
        <f t="shared" si="3"/>
        <v>83.17186183656275</v>
      </c>
      <c r="G22" s="1">
        <f t="shared" si="0"/>
        <v>20.158758518594144</v>
      </c>
      <c r="H22" s="48">
        <f t="shared" si="2"/>
        <v>159.80000000000007</v>
      </c>
      <c r="I22" s="48">
        <f t="shared" si="1"/>
        <v>3128.1000000000004</v>
      </c>
    </row>
    <row r="23" spans="1:9" ht="18">
      <c r="A23" s="26" t="s">
        <v>0</v>
      </c>
      <c r="B23" s="46">
        <v>8710.5</v>
      </c>
      <c r="C23" s="47">
        <v>27804.4</v>
      </c>
      <c r="D23" s="48">
        <f>230.7+158.8+520.8+110.9+465.7+246.3+3.9+169.6+1975.3+126.5+2+97.4+199.5+165.4+184.4+1288.4+1114.2</f>
        <v>7059.799999999998</v>
      </c>
      <c r="E23" s="1">
        <f>D23/D18*100</f>
        <v>13.84377659511885</v>
      </c>
      <c r="F23" s="1">
        <f t="shared" si="3"/>
        <v>81.04930830606737</v>
      </c>
      <c r="G23" s="1">
        <f t="shared" si="0"/>
        <v>25.390945318007212</v>
      </c>
      <c r="H23" s="48">
        <f t="shared" si="2"/>
        <v>1650.7000000000016</v>
      </c>
      <c r="I23" s="48">
        <f t="shared" si="1"/>
        <v>20744.600000000002</v>
      </c>
    </row>
    <row r="24" spans="1:9" ht="18">
      <c r="A24" s="26" t="s">
        <v>15</v>
      </c>
      <c r="B24" s="46">
        <v>395.5</v>
      </c>
      <c r="C24" s="47">
        <v>1591.6</v>
      </c>
      <c r="D24" s="48">
        <f>73.6+22.6+5.3+2.4+2.5+128.1+0.1+11.5+121.2</f>
        <v>367.3</v>
      </c>
      <c r="E24" s="1">
        <f>D24/D18*100</f>
        <v>0.72024974409858</v>
      </c>
      <c r="F24" s="1">
        <f t="shared" si="3"/>
        <v>92.86978508217446</v>
      </c>
      <c r="G24" s="1">
        <f t="shared" si="0"/>
        <v>23.077406383513445</v>
      </c>
      <c r="H24" s="48">
        <f t="shared" si="2"/>
        <v>28.19999999999999</v>
      </c>
      <c r="I24" s="48">
        <f t="shared" si="1"/>
        <v>1224.3</v>
      </c>
    </row>
    <row r="25" spans="1:9" ht="18.75" thickBot="1">
      <c r="A25" s="26" t="s">
        <v>34</v>
      </c>
      <c r="B25" s="47">
        <f>B18-B20-B21-B22-B23-B24</f>
        <v>1426.4999999999945</v>
      </c>
      <c r="C25" s="47">
        <f>C18-C20-C21-C22-C23-C24</f>
        <v>13082.100000000004</v>
      </c>
      <c r="D25" s="47">
        <f>D18-D20-D21-D22-D23-D24</f>
        <v>740.9000000000044</v>
      </c>
      <c r="E25" s="1">
        <f>D25/D18*100</f>
        <v>1.452853349857449</v>
      </c>
      <c r="F25" s="1">
        <f t="shared" si="3"/>
        <v>51.93831055029844</v>
      </c>
      <c r="G25" s="1">
        <f t="shared" si="0"/>
        <v>5.663463816971313</v>
      </c>
      <c r="H25" s="48">
        <f t="shared" si="2"/>
        <v>685.5999999999901</v>
      </c>
      <c r="I25" s="48">
        <f t="shared" si="1"/>
        <v>12341.199999999999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12789.8+19.2</f>
        <v>12809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</f>
        <v>9762</v>
      </c>
      <c r="E33" s="3">
        <f>D33/D149*100</f>
        <v>4.44005785447235</v>
      </c>
      <c r="F33" s="3">
        <f>D33/B33*100</f>
        <v>76.21203841049262</v>
      </c>
      <c r="G33" s="3">
        <f t="shared" si="0"/>
        <v>19.41322812034531</v>
      </c>
      <c r="H33" s="51">
        <f t="shared" si="2"/>
        <v>3047</v>
      </c>
      <c r="I33" s="51">
        <f t="shared" si="1"/>
        <v>40523.299999999996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1335+1268.2+1354.9+1304.2+1357</f>
        <v>6619.3</v>
      </c>
      <c r="E34" s="1">
        <f>D34/D33*100</f>
        <v>67.80680188485965</v>
      </c>
      <c r="F34" s="1">
        <f t="shared" si="3"/>
        <v>81.12185497015822</v>
      </c>
      <c r="G34" s="1">
        <f t="shared" si="0"/>
        <v>18.90332013959094</v>
      </c>
      <c r="H34" s="48">
        <f t="shared" si="2"/>
        <v>1540.3999999999996</v>
      </c>
      <c r="I34" s="48">
        <f t="shared" si="1"/>
        <v>28397.3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10.5+61.2+112+1.1+10.5+29.3+0.6+6.8+9.7+3.4+19.2+41.9-0.2+31.7+187.3+26+0.6+2.4+24.9+11.7</f>
        <v>590.6</v>
      </c>
      <c r="E36" s="1">
        <f>D36/D33*100</f>
        <v>6.0499897561975</v>
      </c>
      <c r="F36" s="1">
        <f t="shared" si="3"/>
        <v>42.987116966300306</v>
      </c>
      <c r="G36" s="1">
        <f t="shared" si="0"/>
        <v>17.450655950833234</v>
      </c>
      <c r="H36" s="48">
        <f t="shared" si="2"/>
        <v>783.3000000000001</v>
      </c>
      <c r="I36" s="48">
        <f t="shared" si="1"/>
        <v>2793.8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0.8041384962097932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15.3</v>
      </c>
      <c r="C38" s="47">
        <v>60.8</v>
      </c>
      <c r="D38" s="47">
        <f>5.1+5.1+5.1</f>
        <v>15.299999999999999</v>
      </c>
      <c r="E38" s="1">
        <f>D38/D33*100</f>
        <v>0.15673017824216348</v>
      </c>
      <c r="F38" s="1">
        <f t="shared" si="3"/>
        <v>99.99999999999999</v>
      </c>
      <c r="G38" s="1">
        <f t="shared" si="0"/>
        <v>25.164473684210524</v>
      </c>
      <c r="H38" s="48">
        <f t="shared" si="2"/>
        <v>0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3169</v>
      </c>
      <c r="C39" s="46">
        <f>C33-C34-C36-C37-C35-C38</f>
        <v>10894.199999999999</v>
      </c>
      <c r="D39" s="46">
        <f>D33-D34-D36-D37-D35-D38</f>
        <v>2458.2999999999997</v>
      </c>
      <c r="E39" s="1">
        <f>D39/D33*100</f>
        <v>25.182339684490877</v>
      </c>
      <c r="F39" s="1">
        <f t="shared" si="3"/>
        <v>77.57336699274218</v>
      </c>
      <c r="G39" s="1">
        <f t="shared" si="0"/>
        <v>22.56521818949533</v>
      </c>
      <c r="H39" s="48">
        <f>B39-D39</f>
        <v>710.7000000000003</v>
      </c>
      <c r="I39" s="48">
        <f t="shared" si="1"/>
        <v>8435.9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208.1+61</f>
        <v>269.1</v>
      </c>
      <c r="C43" s="50">
        <f>829.5+61</f>
        <v>890.5</v>
      </c>
      <c r="D43" s="51">
        <f>22.2+3+5+12.1+5.3+62.1+8.7+22.7</f>
        <v>141.1</v>
      </c>
      <c r="E43" s="3">
        <f>D43/D149*100</f>
        <v>0.06417661987974273</v>
      </c>
      <c r="F43" s="3">
        <f>D43/B43*100</f>
        <v>52.434039390561125</v>
      </c>
      <c r="G43" s="3">
        <f t="shared" si="0"/>
        <v>15.845030881527231</v>
      </c>
      <c r="H43" s="51">
        <f t="shared" si="2"/>
        <v>128.00000000000003</v>
      </c>
      <c r="I43" s="51">
        <f t="shared" si="1"/>
        <v>749.4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224.1+260.8+14.4+236.4+3.2+114.6+291.3+0.1+96+241.4+13.4</f>
        <v>1495.7</v>
      </c>
      <c r="E45" s="3">
        <f>D45/D149*100</f>
        <v>0.680290363955572</v>
      </c>
      <c r="F45" s="3">
        <f>D45/B45*100</f>
        <v>77.74312594209678</v>
      </c>
      <c r="G45" s="3">
        <f aca="true" t="shared" si="4" ref="G45:G75">D45/C45*100</f>
        <v>19.320295546140333</v>
      </c>
      <c r="H45" s="51">
        <f>B45-D45</f>
        <v>428.20000000000005</v>
      </c>
      <c r="I45" s="51">
        <f aca="true" t="shared" si="5" ref="I45:I76">C45-D45</f>
        <v>6245.900000000001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224.1+258.6+235.3+288.8+241.4</f>
        <v>1248.2</v>
      </c>
      <c r="E46" s="1">
        <f>D46/D45*100</f>
        <v>83.4525640168483</v>
      </c>
      <c r="F46" s="1">
        <f aca="true" t="shared" si="6" ref="F46:F73">D46/B46*100</f>
        <v>78.44394167923579</v>
      </c>
      <c r="G46" s="1">
        <f t="shared" si="4"/>
        <v>18.481994787964936</v>
      </c>
      <c r="H46" s="48">
        <f aca="true" t="shared" si="7" ref="H46:H73">B46-D46</f>
        <v>343</v>
      </c>
      <c r="I46" s="48">
        <f t="shared" si="5"/>
        <v>5505.400000000001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</f>
        <v>0.3</v>
      </c>
      <c r="E47" s="1">
        <f>D47/D45*100</f>
        <v>0.020057498161396</v>
      </c>
      <c r="F47" s="1">
        <f t="shared" si="6"/>
        <v>37.49999999999999</v>
      </c>
      <c r="G47" s="1">
        <f t="shared" si="4"/>
        <v>23.076923076923077</v>
      </c>
      <c r="H47" s="48">
        <f t="shared" si="7"/>
        <v>0.5</v>
      </c>
      <c r="I47" s="48">
        <f t="shared" si="5"/>
        <v>1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0.2+2.1+0.1+6.5</f>
        <v>8.9</v>
      </c>
      <c r="E48" s="1">
        <f>D48/D45*100</f>
        <v>0.5950391121214147</v>
      </c>
      <c r="F48" s="1">
        <f t="shared" si="6"/>
        <v>63.12056737588653</v>
      </c>
      <c r="G48" s="1">
        <f t="shared" si="4"/>
        <v>12.588401697312587</v>
      </c>
      <c r="H48" s="48">
        <f t="shared" si="7"/>
        <v>5.199999999999999</v>
      </c>
      <c r="I48" s="48">
        <f t="shared" si="5"/>
        <v>61.800000000000004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2.2+2.5+0.8+112.4+2.2+0.1+69.1+4.4</f>
        <v>193.70000000000002</v>
      </c>
      <c r="E49" s="1">
        <f>D49/D45*100</f>
        <v>12.950457979541351</v>
      </c>
      <c r="F49" s="1">
        <f t="shared" si="6"/>
        <v>80.20703933747413</v>
      </c>
      <c r="G49" s="1">
        <f t="shared" si="4"/>
        <v>34.07211961301672</v>
      </c>
      <c r="H49" s="48">
        <f t="shared" si="7"/>
        <v>47.79999999999998</v>
      </c>
      <c r="I49" s="48">
        <f t="shared" si="5"/>
        <v>374.79999999999995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44.59999999999999</v>
      </c>
      <c r="E50" s="1">
        <f>D50/D45*100</f>
        <v>2.981881393327538</v>
      </c>
      <c r="F50" s="1">
        <f t="shared" si="6"/>
        <v>58.45347313237216</v>
      </c>
      <c r="G50" s="1">
        <f t="shared" si="4"/>
        <v>12.834532374100716</v>
      </c>
      <c r="H50" s="48">
        <f t="shared" si="7"/>
        <v>31.700000000000067</v>
      </c>
      <c r="I50" s="48">
        <f t="shared" si="5"/>
        <v>302.90000000000003</v>
      </c>
    </row>
    <row r="51" spans="1:9" ht="18.75" thickBot="1">
      <c r="A51" s="25" t="s">
        <v>4</v>
      </c>
      <c r="B51" s="49">
        <f>3826.4+36.8</f>
        <v>3863.2000000000003</v>
      </c>
      <c r="C51" s="50">
        <f>16075.7+36.8</f>
        <v>16112.5</v>
      </c>
      <c r="D51" s="51">
        <f>8+294.9+37.1+10.7+29.1+464+10.3+76.6+3.8+16.5+359.8+101.4+28.4+17.4+423.7+90.6+34.9+37+0.1+9.1+9.3+297.9+22+64.6+70.7+6+66.1</f>
        <v>2590</v>
      </c>
      <c r="E51" s="3">
        <f>D51/D149*100</f>
        <v>1.1780116618606213</v>
      </c>
      <c r="F51" s="3">
        <f>D51/B51*100</f>
        <v>67.04286601780906</v>
      </c>
      <c r="G51" s="3">
        <f t="shared" si="4"/>
        <v>16.0744763382467</v>
      </c>
      <c r="H51" s="51">
        <f>B51-D51</f>
        <v>1273.2000000000003</v>
      </c>
      <c r="I51" s="51">
        <f t="shared" si="5"/>
        <v>13522.5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8+294.9+437.7+298.5+423.7+297.9</f>
        <v>1760.6999999999998</v>
      </c>
      <c r="E52" s="1">
        <f>D52/D51*100</f>
        <v>67.98069498069498</v>
      </c>
      <c r="F52" s="1">
        <f t="shared" si="6"/>
        <v>77.34580917237743</v>
      </c>
      <c r="G52" s="1">
        <f t="shared" si="4"/>
        <v>17.046675767521563</v>
      </c>
      <c r="H52" s="48">
        <f t="shared" si="7"/>
        <v>515.7000000000003</v>
      </c>
      <c r="I52" s="48">
        <f t="shared" si="5"/>
        <v>8568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1.3+0.7+2.1+1+7.6+7.5+6.3</f>
        <v>26.5</v>
      </c>
      <c r="E54" s="1">
        <f>D54/D51*100</f>
        <v>1.0231660231660231</v>
      </c>
      <c r="F54" s="1">
        <f t="shared" si="6"/>
        <v>47.4910394265233</v>
      </c>
      <c r="G54" s="1">
        <f t="shared" si="4"/>
        <v>9.233449477351916</v>
      </c>
      <c r="H54" s="48">
        <f t="shared" si="7"/>
        <v>29.299999999999997</v>
      </c>
      <c r="I54" s="48">
        <f t="shared" si="5"/>
        <v>260.5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10.7+0.6+7.6+85.1+28.4+14.4+0.1+8.5+0.1+7+0.1+7.7+62.8+6+1.3</f>
        <v>240.39999999999998</v>
      </c>
      <c r="E55" s="1">
        <f>D55/D51*100</f>
        <v>9.28185328185328</v>
      </c>
      <c r="F55" s="1">
        <f t="shared" si="6"/>
        <v>70.85175361037429</v>
      </c>
      <c r="G55" s="1">
        <f t="shared" si="4"/>
        <v>25.763583753081125</v>
      </c>
      <c r="H55" s="48">
        <f t="shared" si="7"/>
        <v>98.90000000000003</v>
      </c>
      <c r="I55" s="48">
        <f t="shared" si="5"/>
        <v>692.7</v>
      </c>
    </row>
    <row r="56" spans="1:9" ht="18.75" thickBot="1">
      <c r="A56" s="26" t="s">
        <v>34</v>
      </c>
      <c r="B56" s="47">
        <f>B51-B52-B55-B54-B53</f>
        <v>1191.7000000000003</v>
      </c>
      <c r="C56" s="47">
        <f>C51-C52-C55-C54-C53</f>
        <v>4551.699999999999</v>
      </c>
      <c r="D56" s="47">
        <f>D51-D52-D55-D54-D53</f>
        <v>562.4000000000002</v>
      </c>
      <c r="E56" s="1">
        <f>D56/D51*100</f>
        <v>21.714285714285722</v>
      </c>
      <c r="F56" s="1">
        <f t="shared" si="6"/>
        <v>47.19308550809768</v>
      </c>
      <c r="G56" s="1">
        <f t="shared" si="4"/>
        <v>12.355823099061897</v>
      </c>
      <c r="H56" s="48">
        <f t="shared" si="7"/>
        <v>629.3000000000001</v>
      </c>
      <c r="I56" s="48">
        <f>C56-D56</f>
        <v>3989.299999999999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43.5+4.7+72.8+47.2+46+5+62.5+3.8+40.9+35.3+2.1+2.9+21.1+3.9</f>
        <v>391.7</v>
      </c>
      <c r="E58" s="3">
        <f>D58/D149*100</f>
        <v>0.17815720770301366</v>
      </c>
      <c r="F58" s="3">
        <f>D58/B58*100</f>
        <v>65.55648535564853</v>
      </c>
      <c r="G58" s="3">
        <f t="shared" si="4"/>
        <v>6.6595259954435715</v>
      </c>
      <c r="H58" s="51">
        <f>B58-D58</f>
        <v>205.8</v>
      </c>
      <c r="I58" s="51">
        <f t="shared" si="5"/>
        <v>5490.1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43.5+72.8+47.2+62.5+0.1+35.3</f>
        <v>261.4</v>
      </c>
      <c r="E59" s="1">
        <f>D59/D58*100</f>
        <v>66.73474597906561</v>
      </c>
      <c r="F59" s="1">
        <f t="shared" si="6"/>
        <v>74.64306110793831</v>
      </c>
      <c r="G59" s="1">
        <f t="shared" si="4"/>
        <v>17.331918843654687</v>
      </c>
      <c r="H59" s="48">
        <f t="shared" si="7"/>
        <v>88.80000000000001</v>
      </c>
      <c r="I59" s="48">
        <f t="shared" si="5"/>
        <v>1246.8000000000002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4.7+45.7+4.9+40.9+19.8+3.9</f>
        <v>119.9</v>
      </c>
      <c r="E61" s="1">
        <f>D61/D58*100</f>
        <v>30.610160837375545</v>
      </c>
      <c r="F61" s="1">
        <f t="shared" si="6"/>
        <v>55.151793928242874</v>
      </c>
      <c r="G61" s="1">
        <f t="shared" si="4"/>
        <v>19.10756972111554</v>
      </c>
      <c r="H61" s="48">
        <f t="shared" si="7"/>
        <v>97.5</v>
      </c>
      <c r="I61" s="48">
        <f t="shared" si="5"/>
        <v>507.6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10.400000000000006</v>
      </c>
      <c r="E63" s="1">
        <f>D63/D58*100</f>
        <v>2.6550931835588476</v>
      </c>
      <c r="F63" s="1">
        <f t="shared" si="6"/>
        <v>34.782608695652186</v>
      </c>
      <c r="G63" s="1">
        <f t="shared" si="4"/>
        <v>5.249873801110539</v>
      </c>
      <c r="H63" s="48">
        <f t="shared" si="7"/>
        <v>19.5</v>
      </c>
      <c r="I63" s="48">
        <f t="shared" si="5"/>
        <v>187.70000000000053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128</v>
      </c>
      <c r="C68" s="50">
        <f>C69+C70</f>
        <v>418.4</v>
      </c>
      <c r="D68" s="51">
        <f>SUM(D69:D70)</f>
        <v>18.200000000000003</v>
      </c>
      <c r="E68" s="39">
        <f>D68/D149*100</f>
        <v>0.00827791978604761</v>
      </c>
      <c r="F68" s="3">
        <f>D68/B68*100</f>
        <v>14.218750000000002</v>
      </c>
      <c r="G68" s="3">
        <f t="shared" si="4"/>
        <v>4.349904397705546</v>
      </c>
      <c r="H68" s="51">
        <f>B68-D68</f>
        <v>109.8</v>
      </c>
      <c r="I68" s="51">
        <f t="shared" si="5"/>
        <v>400.2</v>
      </c>
    </row>
    <row r="69" spans="1:9" ht="18">
      <c r="A69" s="26" t="s">
        <v>8</v>
      </c>
      <c r="B69" s="46">
        <v>71.6</v>
      </c>
      <c r="C69" s="47">
        <v>171</v>
      </c>
      <c r="D69" s="48">
        <f>3.9+1+3+8.8+1.5</f>
        <v>18.200000000000003</v>
      </c>
      <c r="E69" s="1">
        <f>D69/D68*100</f>
        <v>100</v>
      </c>
      <c r="F69" s="1">
        <f t="shared" si="6"/>
        <v>25.418994413407823</v>
      </c>
      <c r="G69" s="1">
        <f t="shared" si="4"/>
        <v>10.643274853801172</v>
      </c>
      <c r="H69" s="48">
        <f t="shared" si="7"/>
        <v>53.39999999999999</v>
      </c>
      <c r="I69" s="48">
        <f t="shared" si="5"/>
        <v>152.8</v>
      </c>
    </row>
    <row r="70" spans="1:9" ht="18.75" thickBot="1">
      <c r="A70" s="26" t="s">
        <v>9</v>
      </c>
      <c r="B70" s="46">
        <f>62.4-6</f>
        <v>56.4</v>
      </c>
      <c r="C70" s="47">
        <f>253.4-6</f>
        <v>247.4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56.4</v>
      </c>
      <c r="I70" s="48">
        <f t="shared" si="5"/>
        <v>247.4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f>13566.2+1761.2</f>
        <v>15327.400000000001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</f>
        <v>9469.1</v>
      </c>
      <c r="E89" s="3">
        <f>D89/D149*100</f>
        <v>4.30683792560788</v>
      </c>
      <c r="F89" s="3">
        <f aca="true" t="shared" si="10" ref="F89:F95">D89/B89*100</f>
        <v>61.77890575048606</v>
      </c>
      <c r="G89" s="3">
        <f t="shared" si="8"/>
        <v>16.89025641025641</v>
      </c>
      <c r="H89" s="51">
        <f aca="true" t="shared" si="11" ref="H89:H95">B89-D89</f>
        <v>5858.300000000001</v>
      </c>
      <c r="I89" s="51">
        <f t="shared" si="9"/>
        <v>46593.4</v>
      </c>
    </row>
    <row r="90" spans="1:9" ht="18">
      <c r="A90" s="26" t="s">
        <v>3</v>
      </c>
      <c r="B90" s="46">
        <f>11319.6-48.1+1725.5</f>
        <v>12997</v>
      </c>
      <c r="C90" s="47">
        <f>41785.6+5825.3</f>
        <v>47610.9</v>
      </c>
      <c r="D90" s="48">
        <f>504.1+600.9+12.5+0.1+294.4+657+710.4+56.2+67.4+61.4+375.5+513+243.5+0.3+0.2+0.2+1502.8+529.2+582+0.1+29+142.9+14.9+1.4+1.9+241.9+972.3+146.3+19.4+5.4+12.1</f>
        <v>8298.699999999997</v>
      </c>
      <c r="E90" s="1">
        <f>D90/D89*100</f>
        <v>87.63979681279105</v>
      </c>
      <c r="F90" s="1">
        <f t="shared" si="10"/>
        <v>63.85088866661535</v>
      </c>
      <c r="G90" s="1">
        <f t="shared" si="8"/>
        <v>17.43025231617129</v>
      </c>
      <c r="H90" s="48">
        <f t="shared" si="11"/>
        <v>4698.300000000003</v>
      </c>
      <c r="I90" s="48">
        <f t="shared" si="9"/>
        <v>39312.200000000004</v>
      </c>
    </row>
    <row r="91" spans="1:9" ht="18">
      <c r="A91" s="26" t="s">
        <v>32</v>
      </c>
      <c r="B91" s="46">
        <f>918.4-1.2</f>
        <v>917.1999999999999</v>
      </c>
      <c r="C91" s="47">
        <v>2476</v>
      </c>
      <c r="D91" s="48">
        <f>9.8+96.8+35.3+50.2+30+1.1+18.1+138.1+43.8+4.2</f>
        <v>427.4</v>
      </c>
      <c r="E91" s="1">
        <f>D91/D89*100</f>
        <v>4.513628539143108</v>
      </c>
      <c r="F91" s="1">
        <f t="shared" si="10"/>
        <v>46.59834278238117</v>
      </c>
      <c r="G91" s="1">
        <f t="shared" si="8"/>
        <v>17.261712439418417</v>
      </c>
      <c r="H91" s="48">
        <f t="shared" si="11"/>
        <v>489.79999999999995</v>
      </c>
      <c r="I91" s="48">
        <f t="shared" si="9"/>
        <v>2048.6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1413.2000000000016</v>
      </c>
      <c r="C93" s="47">
        <f>C89-C90-C91-C92</f>
        <v>5975.5999999999985</v>
      </c>
      <c r="D93" s="47">
        <f>D89-D90-D91-D92</f>
        <v>743.0000000000033</v>
      </c>
      <c r="E93" s="1">
        <f>D93/D89*100</f>
        <v>7.8465746480658485</v>
      </c>
      <c r="F93" s="1">
        <f t="shared" si="10"/>
        <v>52.575714690065276</v>
      </c>
      <c r="G93" s="1">
        <f>D93/C93*100</f>
        <v>12.433897851261856</v>
      </c>
      <c r="H93" s="48">
        <f t="shared" si="11"/>
        <v>670.1999999999983</v>
      </c>
      <c r="I93" s="48">
        <f>C93-D93</f>
        <v>5232.599999999995</v>
      </c>
    </row>
    <row r="94" spans="1:9" ht="18.75">
      <c r="A94" s="116" t="s">
        <v>12</v>
      </c>
      <c r="B94" s="119">
        <f>20713.6+1490.6</f>
        <v>22204.199999999997</v>
      </c>
      <c r="C94" s="121">
        <f>63500.4+11490.6</f>
        <v>74991</v>
      </c>
      <c r="D94" s="120">
        <f>3050.1+485.9+95+377.6+203.9+57.3+702.6+368.5+68.4+157.9+4015.3+212.6+788.4+894.3+61.1+517.2+111.3+0.1+1461.7+564.4+1326.7+460.8+228+635.4</f>
        <v>16844.5</v>
      </c>
      <c r="E94" s="115">
        <f>D94/D149*100</f>
        <v>7.661396694290053</v>
      </c>
      <c r="F94" s="118">
        <f t="shared" si="10"/>
        <v>75.8617738986318</v>
      </c>
      <c r="G94" s="114">
        <f>D94/C94*100</f>
        <v>22.462028776786546</v>
      </c>
      <c r="H94" s="120">
        <f t="shared" si="11"/>
        <v>5359.699999999997</v>
      </c>
      <c r="I94" s="130">
        <f>C94-D94</f>
        <v>58146.5</v>
      </c>
    </row>
    <row r="95" spans="1:9" ht="18.75" thickBot="1">
      <c r="A95" s="117" t="s">
        <v>100</v>
      </c>
      <c r="B95" s="122">
        <v>1323.4</v>
      </c>
      <c r="C95" s="123">
        <v>5343.5</v>
      </c>
      <c r="D95" s="124">
        <f>57.3+368.5+61.1+0.1+320</f>
        <v>807</v>
      </c>
      <c r="E95" s="125">
        <f>D95/D94*100</f>
        <v>4.790881296565645</v>
      </c>
      <c r="F95" s="126">
        <f t="shared" si="10"/>
        <v>60.97929575336255</v>
      </c>
      <c r="G95" s="127">
        <f>D95/C95*100</f>
        <v>15.102460933844858</v>
      </c>
      <c r="H95" s="131">
        <f t="shared" si="11"/>
        <v>516.4000000000001</v>
      </c>
      <c r="I95" s="132">
        <f>C95-D95</f>
        <v>4536.5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40+388.7+47.5+2+10.9+26+40+10.7+4.9+126.7+451+1.9+19.2+1.6+31.5+41+134.3+2+40+303.9</f>
        <v>1723.8000000000002</v>
      </c>
      <c r="E101" s="22">
        <f>D101/D149*100</f>
        <v>0.7840372597356522</v>
      </c>
      <c r="F101" s="22">
        <f>D101/B101*100</f>
        <v>70.3965369379671</v>
      </c>
      <c r="G101" s="22">
        <f aca="true" t="shared" si="12" ref="G101:G147">D101/C101*100</f>
        <v>16.105313314585224</v>
      </c>
      <c r="H101" s="87">
        <f aca="true" t="shared" si="13" ref="H101:H106">B101-D101</f>
        <v>724.8999999999996</v>
      </c>
      <c r="I101" s="87">
        <f aca="true" t="shared" si="14" ref="I101:I147">C101-D101</f>
        <v>8979.5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60</v>
      </c>
      <c r="B103" s="78">
        <v>2140.8</v>
      </c>
      <c r="C103" s="48">
        <v>8863.3</v>
      </c>
      <c r="D103" s="48">
        <f>39.8+388.5+20.6+2+26+40+4.1+126.5+407.9+18+31.2+40.6+134.1+2+40+303.9</f>
        <v>1625.1999999999998</v>
      </c>
      <c r="E103" s="1">
        <f>D103/D101*100</f>
        <v>94.28007889546349</v>
      </c>
      <c r="F103" s="1">
        <f aca="true" t="shared" si="15" ref="F103:F147">D103/B103*100</f>
        <v>75.91554559043347</v>
      </c>
      <c r="G103" s="1">
        <f t="shared" si="12"/>
        <v>18.336285582119526</v>
      </c>
      <c r="H103" s="48">
        <f t="shared" si="13"/>
        <v>515.6000000000004</v>
      </c>
      <c r="I103" s="48">
        <f t="shared" si="14"/>
        <v>7238.099999999999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98.60000000000036</v>
      </c>
      <c r="E105" s="92">
        <f>D105/D101*100</f>
        <v>5.7199211045365095</v>
      </c>
      <c r="F105" s="92">
        <f t="shared" si="15"/>
        <v>32.02338421565459</v>
      </c>
      <c r="G105" s="92">
        <f t="shared" si="12"/>
        <v>5.967078189300435</v>
      </c>
      <c r="H105" s="132">
        <f>B105-D105</f>
        <v>209.29999999999927</v>
      </c>
      <c r="I105" s="132">
        <f t="shared" si="14"/>
        <v>1553.7999999999993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49723.200000000004</v>
      </c>
      <c r="C106" s="89">
        <f>SUM(C107:C146)-C114-C118+C147-C138-C139-C108-C111-C121-C122-C136-C130-C128</f>
        <v>384671.6</v>
      </c>
      <c r="D106" s="89">
        <f>SUM(D107:D146)-D114-D118+D147-D138-D139-D108-D111-D121-D122-D136-D130-D128</f>
        <v>43460.50000000001</v>
      </c>
      <c r="E106" s="90">
        <f>D106/D149*100</f>
        <v>19.767172135248472</v>
      </c>
      <c r="F106" s="90">
        <f>D106/B106*100</f>
        <v>87.4048733790263</v>
      </c>
      <c r="G106" s="90">
        <f t="shared" si="12"/>
        <v>11.298078672821182</v>
      </c>
      <c r="H106" s="89">
        <f t="shared" si="13"/>
        <v>6262.699999999997</v>
      </c>
      <c r="I106" s="89">
        <f t="shared" si="14"/>
        <v>341211.1</v>
      </c>
    </row>
    <row r="107" spans="1:9" ht="37.5">
      <c r="A107" s="31" t="s">
        <v>64</v>
      </c>
      <c r="B107" s="75">
        <f>590.4+42</f>
        <v>632.4</v>
      </c>
      <c r="C107" s="71">
        <v>2166.2</v>
      </c>
      <c r="D107" s="76">
        <f>142.7+0.9+78.6+37.4</f>
        <v>259.59999999999997</v>
      </c>
      <c r="E107" s="6">
        <f>D107/D106*100</f>
        <v>0.5973240068568009</v>
      </c>
      <c r="F107" s="6">
        <f t="shared" si="15"/>
        <v>41.04996837444655</v>
      </c>
      <c r="G107" s="6">
        <f t="shared" si="12"/>
        <v>11.98411965654141</v>
      </c>
      <c r="H107" s="65">
        <f aca="true" t="shared" si="16" ref="H107:H147">B107-D107</f>
        <v>372.8</v>
      </c>
      <c r="I107" s="65">
        <f t="shared" si="14"/>
        <v>1906.6</v>
      </c>
    </row>
    <row r="108" spans="1:9" ht="18">
      <c r="A108" s="26" t="s">
        <v>32</v>
      </c>
      <c r="B108" s="78">
        <f>323.1+42</f>
        <v>365.1</v>
      </c>
      <c r="C108" s="48">
        <v>1213.5</v>
      </c>
      <c r="D108" s="79">
        <f>142.7+0.9+78.6+37.4</f>
        <v>259.59999999999997</v>
      </c>
      <c r="E108" s="1">
        <f>D108/D107*100</f>
        <v>100</v>
      </c>
      <c r="F108" s="1">
        <f t="shared" si="15"/>
        <v>71.10380717611612</v>
      </c>
      <c r="G108" s="1">
        <f t="shared" si="12"/>
        <v>21.392665842604035</v>
      </c>
      <c r="H108" s="48">
        <f t="shared" si="16"/>
        <v>105.50000000000006</v>
      </c>
      <c r="I108" s="48">
        <f t="shared" si="14"/>
        <v>953.9000000000001</v>
      </c>
    </row>
    <row r="109" spans="1:9" ht="34.5" customHeight="1">
      <c r="A109" s="16" t="s">
        <v>95</v>
      </c>
      <c r="B109" s="77">
        <v>93.9</v>
      </c>
      <c r="C109" s="65">
        <v>778.3</v>
      </c>
      <c r="D109" s="76">
        <f>26.5+20.2+7.7+37.4</f>
        <v>91.80000000000001</v>
      </c>
      <c r="E109" s="6">
        <f>D109/D106*100</f>
        <v>0.2112262859378056</v>
      </c>
      <c r="F109" s="6">
        <f>D109/B109*100</f>
        <v>97.76357827476039</v>
      </c>
      <c r="G109" s="6">
        <f t="shared" si="12"/>
        <v>11.79493768469742</v>
      </c>
      <c r="H109" s="65">
        <f t="shared" si="16"/>
        <v>2.0999999999999943</v>
      </c>
      <c r="I109" s="65">
        <f t="shared" si="14"/>
        <v>686.5</v>
      </c>
    </row>
    <row r="110" spans="1:9" s="41" customFormat="1" ht="34.5" customHeight="1">
      <c r="A110" s="16" t="s">
        <v>71</v>
      </c>
      <c r="B110" s="77">
        <v>0</v>
      </c>
      <c r="C110" s="57">
        <v>774.1</v>
      </c>
      <c r="D110" s="80"/>
      <c r="E110" s="6">
        <f>D110/D106*100</f>
        <v>0</v>
      </c>
      <c r="F110" s="133" t="e">
        <f t="shared" si="15"/>
        <v>#DIV/0!</v>
      </c>
      <c r="G110" s="6">
        <f t="shared" si="12"/>
        <v>0</v>
      </c>
      <c r="H110" s="65">
        <f t="shared" si="16"/>
        <v>0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82.2+4.4+0.2+16.8+100.8+0.1+8.3</f>
        <v>212.8</v>
      </c>
      <c r="E113" s="6">
        <f>D113/D106*100</f>
        <v>0.4896400179473314</v>
      </c>
      <c r="F113" s="6">
        <f t="shared" si="15"/>
        <v>45.70446735395189</v>
      </c>
      <c r="G113" s="6">
        <f t="shared" si="12"/>
        <v>11.849871923376769</v>
      </c>
      <c r="H113" s="65">
        <f t="shared" si="16"/>
        <v>252.8</v>
      </c>
      <c r="I113" s="65">
        <f t="shared" si="14"/>
        <v>1583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119</v>
      </c>
      <c r="B115" s="77">
        <v>0</v>
      </c>
      <c r="C115" s="57">
        <v>264.5</v>
      </c>
      <c r="D115" s="80"/>
      <c r="E115" s="17">
        <f>D115/D106*100</f>
        <v>0</v>
      </c>
      <c r="F115" s="133" t="e">
        <f t="shared" si="15"/>
        <v>#DIV/0!</v>
      </c>
      <c r="G115" s="17">
        <f t="shared" si="12"/>
        <v>0</v>
      </c>
      <c r="H115" s="57">
        <f t="shared" si="16"/>
        <v>0</v>
      </c>
      <c r="I115" s="57">
        <f t="shared" si="14"/>
        <v>264.5</v>
      </c>
    </row>
    <row r="116" spans="1:9" ht="37.5">
      <c r="A116" s="16" t="s">
        <v>57</v>
      </c>
      <c r="B116" s="77">
        <v>0</v>
      </c>
      <c r="C116" s="65">
        <v>110</v>
      </c>
      <c r="D116" s="76"/>
      <c r="E116" s="6">
        <f>D116/D106*100</f>
        <v>0</v>
      </c>
      <c r="F116" s="133" t="e">
        <f>D116/B116*100</f>
        <v>#DIV/0!</v>
      </c>
      <c r="G116" s="6">
        <f t="shared" si="12"/>
        <v>0</v>
      </c>
      <c r="H116" s="65">
        <f t="shared" si="16"/>
        <v>0</v>
      </c>
      <c r="I116" s="65">
        <f t="shared" si="14"/>
        <v>110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17.1-0.3+0.8+0.3+21.4+4.2+0.3</f>
        <v>43.8</v>
      </c>
      <c r="E117" s="6">
        <f>D117/D106*100</f>
        <v>0.10078116910758042</v>
      </c>
      <c r="F117" s="6">
        <f t="shared" si="15"/>
        <v>69.85645933014352</v>
      </c>
      <c r="G117" s="6">
        <f t="shared" si="12"/>
        <v>19.076655052264808</v>
      </c>
      <c r="H117" s="65">
        <f t="shared" si="16"/>
        <v>18.900000000000006</v>
      </c>
      <c r="I117" s="65">
        <f t="shared" si="14"/>
        <v>185.8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76.7123287671233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 hidden="1">
      <c r="A121" s="26" t="s">
        <v>97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f>5096.9+1707.5</f>
        <v>6804.4</v>
      </c>
      <c r="D123" s="80">
        <f>3776+7.6+1124+100</f>
        <v>5007.6</v>
      </c>
      <c r="E123" s="17">
        <f>D123/D106*100</f>
        <v>11.522186813313237</v>
      </c>
      <c r="F123" s="6">
        <f t="shared" si="15"/>
        <v>99.54477686114701</v>
      </c>
      <c r="G123" s="6">
        <f t="shared" si="12"/>
        <v>73.59355711010524</v>
      </c>
      <c r="H123" s="65">
        <f t="shared" si="16"/>
        <v>22.899999999999636</v>
      </c>
      <c r="I123" s="65">
        <f t="shared" si="14"/>
        <v>1796.7999999999993</v>
      </c>
    </row>
    <row r="124" spans="1:9" s="2" customFormat="1" ht="18.75">
      <c r="A124" s="16" t="s">
        <v>121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120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</f>
        <v>4.5</v>
      </c>
      <c r="E126" s="17">
        <f>D126/D106*100</f>
        <v>0.010354229702833605</v>
      </c>
      <c r="F126" s="6">
        <f t="shared" si="15"/>
        <v>4.731861198738171</v>
      </c>
      <c r="G126" s="6">
        <f t="shared" si="12"/>
        <v>4.731861198738171</v>
      </c>
      <c r="H126" s="65">
        <f t="shared" si="16"/>
        <v>90.6</v>
      </c>
      <c r="I126" s="65">
        <f t="shared" si="14"/>
        <v>90.6</v>
      </c>
    </row>
    <row r="127" spans="1:9" s="2" customFormat="1" ht="37.5">
      <c r="A127" s="16" t="s">
        <v>74</v>
      </c>
      <c r="B127" s="77">
        <v>184.1</v>
      </c>
      <c r="C127" s="57">
        <v>983</v>
      </c>
      <c r="D127" s="80">
        <f>2.8+14.4+2.8+8.8+3.7</f>
        <v>32.5</v>
      </c>
      <c r="E127" s="17">
        <f>D127/D106*100</f>
        <v>0.07478054785379826</v>
      </c>
      <c r="F127" s="6">
        <f t="shared" si="15"/>
        <v>17.653449212384576</v>
      </c>
      <c r="G127" s="6">
        <f t="shared" si="12"/>
        <v>3.306205493387589</v>
      </c>
      <c r="H127" s="65">
        <f t="shared" si="16"/>
        <v>151.6</v>
      </c>
      <c r="I127" s="65">
        <f t="shared" si="14"/>
        <v>950.5</v>
      </c>
    </row>
    <row r="128" spans="1:9" s="36" customFormat="1" ht="18">
      <c r="A128" s="26" t="s">
        <v>111</v>
      </c>
      <c r="B128" s="78">
        <f>157.2-4.1</f>
        <v>153.1</v>
      </c>
      <c r="C128" s="48">
        <v>851.8</v>
      </c>
      <c r="D128" s="79">
        <f>2.8+2.8-0.1</f>
        <v>5.5</v>
      </c>
      <c r="E128" s="1">
        <f>D128/D127*100</f>
        <v>16.923076923076923</v>
      </c>
      <c r="F128" s="1">
        <f>D128/B128*100</f>
        <v>3.5924232527759634</v>
      </c>
      <c r="G128" s="1">
        <f t="shared" si="12"/>
        <v>0.6456914768725054</v>
      </c>
      <c r="H128" s="48">
        <f t="shared" si="16"/>
        <v>147.6</v>
      </c>
      <c r="I128" s="48">
        <f t="shared" si="14"/>
        <v>846.3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22.8</v>
      </c>
      <c r="C131" s="57">
        <v>64.1</v>
      </c>
      <c r="D131" s="80">
        <f>0.8</f>
        <v>0.8</v>
      </c>
      <c r="E131" s="17">
        <f>D131/D106*100</f>
        <v>0.001840751947170419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114.2</v>
      </c>
      <c r="C133" s="57">
        <v>600</v>
      </c>
      <c r="D133" s="80">
        <f>0.8+5</f>
        <v>5.8</v>
      </c>
      <c r="E133" s="17">
        <f>D133/D106*100</f>
        <v>0.013345451616985537</v>
      </c>
      <c r="F133" s="6">
        <f t="shared" si="15"/>
        <v>5.078809106830122</v>
      </c>
      <c r="G133" s="6">
        <f t="shared" si="12"/>
        <v>0.9666666666666667</v>
      </c>
      <c r="H133" s="65">
        <f t="shared" si="16"/>
        <v>108.4</v>
      </c>
      <c r="I133" s="65">
        <f t="shared" si="14"/>
        <v>594.2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128.3</v>
      </c>
      <c r="C135" s="57">
        <v>363.7</v>
      </c>
      <c r="D135" s="80">
        <f>5.2+0.3+2.7+0.1+0.5+0.2</f>
        <v>8.999999999999998</v>
      </c>
      <c r="E135" s="17">
        <f>D135/D106*100</f>
        <v>0.020708459405667207</v>
      </c>
      <c r="F135" s="6">
        <f t="shared" si="15"/>
        <v>7.014809041309429</v>
      </c>
      <c r="G135" s="6">
        <f>D135/C135*100</f>
        <v>2.4745669507836126</v>
      </c>
      <c r="H135" s="65">
        <f t="shared" si="16"/>
        <v>119.30000000000001</v>
      </c>
      <c r="I135" s="65">
        <f t="shared" si="14"/>
        <v>354.7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>
        <f>0.3</f>
        <v>0.3</v>
      </c>
      <c r="E136" s="111">
        <f>D136/D135*100</f>
        <v>3.333333333333334</v>
      </c>
      <c r="F136" s="1">
        <f t="shared" si="15"/>
        <v>0.3229278794402583</v>
      </c>
      <c r="G136" s="1">
        <f>D136/C136*100</f>
        <v>0.13711151736745886</v>
      </c>
      <c r="H136" s="48">
        <f t="shared" si="16"/>
        <v>92.60000000000001</v>
      </c>
      <c r="I136" s="48">
        <f t="shared" si="14"/>
        <v>218.5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26.5+42.3+30.1+3.6+8.6+42.3+0.1+5.7+31.9+5.2</f>
        <v>196.29999999999995</v>
      </c>
      <c r="E137" s="17">
        <f>D137/D106*100</f>
        <v>0.4516745090369414</v>
      </c>
      <c r="F137" s="6">
        <f t="shared" si="15"/>
        <v>69.60992907801416</v>
      </c>
      <c r="G137" s="6">
        <f t="shared" si="12"/>
        <v>16.919496638510598</v>
      </c>
      <c r="H137" s="65">
        <f t="shared" si="16"/>
        <v>85.70000000000005</v>
      </c>
      <c r="I137" s="65">
        <f t="shared" si="14"/>
        <v>963.9000000000001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26.5+39.8+30.1+42.1+0.1+31.9</f>
        <v>170.5</v>
      </c>
      <c r="E138" s="1">
        <f>D138/D137*100</f>
        <v>86.85685175751404</v>
      </c>
      <c r="F138" s="1">
        <f aca="true" t="shared" si="17" ref="F138:F146">D138/B138*100</f>
        <v>80.72916666666667</v>
      </c>
      <c r="G138" s="1">
        <f t="shared" si="12"/>
        <v>19.239449334236063</v>
      </c>
      <c r="H138" s="48">
        <f t="shared" si="16"/>
        <v>40.69999999999999</v>
      </c>
      <c r="I138" s="48">
        <f t="shared" si="14"/>
        <v>715.7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8.6+0.2+0.3+5.1</f>
        <v>14.2</v>
      </c>
      <c r="E139" s="1">
        <f>D139/D137*100</f>
        <v>7.233825776872135</v>
      </c>
      <c r="F139" s="1">
        <f t="shared" si="17"/>
        <v>70.29702970297029</v>
      </c>
      <c r="G139" s="1">
        <f>D139/C139*100</f>
        <v>36.1323155216285</v>
      </c>
      <c r="H139" s="48">
        <f t="shared" si="16"/>
        <v>6</v>
      </c>
      <c r="I139" s="48">
        <f t="shared" si="14"/>
        <v>25.099999999999998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/>
      <c r="E140" s="17">
        <f>D140/D106*100</f>
        <v>0</v>
      </c>
      <c r="F140" s="107">
        <f t="shared" si="17"/>
        <v>0</v>
      </c>
      <c r="G140" s="6">
        <f t="shared" si="12"/>
        <v>0</v>
      </c>
      <c r="H140" s="65">
        <f t="shared" si="16"/>
        <v>345</v>
      </c>
      <c r="I140" s="65">
        <f t="shared" si="14"/>
        <v>345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3612.8+1500</f>
        <v>5112.8</v>
      </c>
      <c r="C142" s="57">
        <f>16744+15000</f>
        <v>31744</v>
      </c>
      <c r="D142" s="80">
        <f>112.8+55.6+128.7+0.1+105.3+21.7+331.5+41.9+106.9+1197.5+64.4+33.5</f>
        <v>2199.9</v>
      </c>
      <c r="E142" s="17">
        <f>D142/D106*100</f>
        <v>5.061837760725255</v>
      </c>
      <c r="F142" s="107">
        <f t="shared" si="17"/>
        <v>43.027304021279924</v>
      </c>
      <c r="G142" s="6">
        <f t="shared" si="12"/>
        <v>6.930128528225807</v>
      </c>
      <c r="H142" s="65">
        <f t="shared" si="16"/>
        <v>2912.9</v>
      </c>
      <c r="I142" s="65">
        <f t="shared" si="14"/>
        <v>29544.1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4.818168221718571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</f>
        <v>568.7</v>
      </c>
      <c r="E145" s="17">
        <f>D145/D106*100</f>
        <v>1.3085445404447715</v>
      </c>
      <c r="F145" s="107">
        <f t="shared" si="17"/>
        <v>94.35871909739507</v>
      </c>
      <c r="G145" s="6">
        <f t="shared" si="12"/>
        <v>94.35871909739507</v>
      </c>
      <c r="H145" s="65">
        <f t="shared" si="16"/>
        <v>34</v>
      </c>
      <c r="I145" s="65">
        <f t="shared" si="14"/>
        <v>34</v>
      </c>
      <c r="K145" s="42"/>
      <c r="L145" s="42"/>
    </row>
    <row r="146" spans="1:12" s="2" customFormat="1" ht="19.5" customHeight="1">
      <c r="A146" s="16" t="s">
        <v>62</v>
      </c>
      <c r="B146" s="77">
        <v>27094.2</v>
      </c>
      <c r="C146" s="57">
        <v>298394.8</v>
      </c>
      <c r="D146" s="80">
        <f>26548.7+545.5</f>
        <v>27094.2</v>
      </c>
      <c r="E146" s="17">
        <f>D146/D106*100</f>
        <v>62.34212675878096</v>
      </c>
      <c r="F146" s="6">
        <f t="shared" si="17"/>
        <v>100</v>
      </c>
      <c r="G146" s="6">
        <f t="shared" si="12"/>
        <v>9.079983967549033</v>
      </c>
      <c r="H146" s="65">
        <f t="shared" si="16"/>
        <v>0</v>
      </c>
      <c r="I146" s="65">
        <f t="shared" si="14"/>
        <v>271300.6</v>
      </c>
      <c r="K146" s="99"/>
      <c r="L146" s="42"/>
    </row>
    <row r="147" spans="1:12" s="2" customFormat="1" ht="18.75">
      <c r="A147" s="16" t="s">
        <v>105</v>
      </c>
      <c r="B147" s="77">
        <v>7250.4</v>
      </c>
      <c r="C147" s="57">
        <v>29001.6</v>
      </c>
      <c r="D147" s="80">
        <f>805.6+805.6+805.6+805.6+805.6+805.6+805.6</f>
        <v>5639.200000000001</v>
      </c>
      <c r="E147" s="17">
        <f>D147/D106*100</f>
        <v>12.975460475604283</v>
      </c>
      <c r="F147" s="6">
        <f t="shared" si="15"/>
        <v>77.77777777777779</v>
      </c>
      <c r="G147" s="6">
        <f t="shared" si="12"/>
        <v>19.444444444444446</v>
      </c>
      <c r="H147" s="65">
        <f t="shared" si="16"/>
        <v>1611.199999999999</v>
      </c>
      <c r="I147" s="65">
        <f t="shared" si="14"/>
        <v>23362.399999999998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55069</v>
      </c>
      <c r="C148" s="81">
        <f>C43+C68+C71+C76+C78+C86+C101+C106+C99+C83+C97</f>
        <v>406683.8</v>
      </c>
      <c r="D148" s="57">
        <f>D43+D68+D71+D76+D78+D86+D101+D106+D99+D83+D97</f>
        <v>45343.600000000006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287432.60000000003</v>
      </c>
      <c r="C149" s="51">
        <f>C6+C18+C33+C43+C51+C58+C68+C71+C76+C78+C86+C89+C94+C101+C106+C99+C83+C97+C45</f>
        <v>1298548.0000000002</v>
      </c>
      <c r="D149" s="51">
        <f>D6+D18+D33+D43+D51+D58+D68+D71+D76+D78+D86+D89+D94+D101+D106+D99+D83+D97+D45</f>
        <v>219862.00000000006</v>
      </c>
      <c r="E149" s="35">
        <v>100</v>
      </c>
      <c r="F149" s="3">
        <f>D149/B149*100</f>
        <v>76.49167143879993</v>
      </c>
      <c r="G149" s="3">
        <f aca="true" t="shared" si="18" ref="G149:G155">D149/C149*100</f>
        <v>16.931372579219254</v>
      </c>
      <c r="H149" s="51">
        <f aca="true" t="shared" si="19" ref="H149:H155">B149-D149</f>
        <v>67570.59999999998</v>
      </c>
      <c r="I149" s="51">
        <f aca="true" t="shared" si="20" ref="I149:I155">C149-D149</f>
        <v>1078686.0000000002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140727.1</v>
      </c>
      <c r="C150" s="64">
        <f>C8+C20+C34+C52+C59+C90+C114+C118+C46+C138+C130+C102</f>
        <v>587184.8999999998</v>
      </c>
      <c r="D150" s="64">
        <f>D8+D20+D34+D52+D59+D90+D114+D118+D46+D138+D130+D102</f>
        <v>112985.49999999999</v>
      </c>
      <c r="E150" s="6">
        <f>D150/D149*100</f>
        <v>51.3892805487078</v>
      </c>
      <c r="F150" s="6">
        <f aca="true" t="shared" si="21" ref="F150:F161">D150/B150*100</f>
        <v>80.28695254858516</v>
      </c>
      <c r="G150" s="6">
        <f t="shared" si="18"/>
        <v>19.24189467406264</v>
      </c>
      <c r="H150" s="65">
        <f t="shared" si="19"/>
        <v>27741.60000000002</v>
      </c>
      <c r="I150" s="76">
        <f t="shared" si="20"/>
        <v>474199.3999999998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41440.200000000004</v>
      </c>
      <c r="C151" s="65">
        <f>C11+C23+C36+C55+C61+C91+C49+C139+C108+C111+C95+C136</f>
        <v>114263.80000000002</v>
      </c>
      <c r="D151" s="65">
        <f>D11+D23+D36+D55+D61+D91+D49+D139+D108+D111+D95+D136</f>
        <v>27834.800000000003</v>
      </c>
      <c r="E151" s="6">
        <f>D151/D149*100</f>
        <v>12.660123168169122</v>
      </c>
      <c r="F151" s="6">
        <f t="shared" si="21"/>
        <v>67.16859474616436</v>
      </c>
      <c r="G151" s="6">
        <f t="shared" si="18"/>
        <v>24.36012105321195</v>
      </c>
      <c r="H151" s="65">
        <f t="shared" si="19"/>
        <v>13605.400000000001</v>
      </c>
      <c r="I151" s="76">
        <f t="shared" si="20"/>
        <v>86429.00000000001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5830.500000000001</v>
      </c>
      <c r="E152" s="6">
        <f>D152/D149*100</f>
        <v>2.651890731458824</v>
      </c>
      <c r="F152" s="6">
        <f t="shared" si="21"/>
        <v>56.04310046522358</v>
      </c>
      <c r="G152" s="6">
        <f t="shared" si="18"/>
        <v>17.85194869612343</v>
      </c>
      <c r="H152" s="65">
        <f t="shared" si="19"/>
        <v>4573.099999999999</v>
      </c>
      <c r="I152" s="76">
        <f t="shared" si="20"/>
        <v>26829.800000000003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6403.900000000001</v>
      </c>
      <c r="C153" s="64">
        <f>C12+C24+C103+C62+C38+C92+C128</f>
        <v>29295.7</v>
      </c>
      <c r="D153" s="64">
        <f>D12+D24+D103+D62+D38+D92+D128</f>
        <v>4893.100000000001</v>
      </c>
      <c r="E153" s="6">
        <f>D153/D149*100</f>
        <v>2.2255323794016246</v>
      </c>
      <c r="F153" s="6">
        <f t="shared" si="21"/>
        <v>76.40812629803715</v>
      </c>
      <c r="G153" s="6">
        <f t="shared" si="18"/>
        <v>16.70245121297665</v>
      </c>
      <c r="H153" s="65">
        <f t="shared" si="19"/>
        <v>1510.7999999999993</v>
      </c>
      <c r="I153" s="76">
        <f t="shared" si="20"/>
        <v>24402.6</v>
      </c>
      <c r="K153" s="43"/>
      <c r="L153" s="98"/>
    </row>
    <row r="154" spans="1:12" ht="18.75">
      <c r="A154" s="20" t="s">
        <v>2</v>
      </c>
      <c r="B154" s="64">
        <f>B9+B21+B47+B53+B121</f>
        <v>4717.8</v>
      </c>
      <c r="C154" s="64">
        <f>C9+C21+C47+C53+C121</f>
        <v>21053.1</v>
      </c>
      <c r="D154" s="64">
        <f>D9+D21+D47+D53+D121</f>
        <v>3484.8999999999996</v>
      </c>
      <c r="E154" s="6">
        <f>D154/D149*100</f>
        <v>1.585039706725127</v>
      </c>
      <c r="F154" s="6">
        <f t="shared" si="21"/>
        <v>73.86705667896052</v>
      </c>
      <c r="G154" s="6">
        <f t="shared" si="18"/>
        <v>16.55290669782597</v>
      </c>
      <c r="H154" s="65">
        <f t="shared" si="19"/>
        <v>1232.9000000000005</v>
      </c>
      <c r="I154" s="76">
        <f t="shared" si="20"/>
        <v>17568.199999999997</v>
      </c>
      <c r="K154" s="43"/>
      <c r="L154" s="44"/>
    </row>
    <row r="155" spans="1:12" ht="19.5" thickBot="1">
      <c r="A155" s="20" t="s">
        <v>34</v>
      </c>
      <c r="B155" s="64">
        <f>B149-B150-B151-B152-B153-B154</f>
        <v>83740.00000000001</v>
      </c>
      <c r="C155" s="64">
        <f>C149-C150-C151-C152-C153-C154</f>
        <v>514090.2000000004</v>
      </c>
      <c r="D155" s="64">
        <f>D149-D150-D151-D152-D153-D154</f>
        <v>64833.20000000006</v>
      </c>
      <c r="E155" s="6">
        <f>D155/D149*100</f>
        <v>29.48813346553749</v>
      </c>
      <c r="F155" s="6">
        <f t="shared" si="21"/>
        <v>77.422020539766</v>
      </c>
      <c r="G155" s="40">
        <f t="shared" si="18"/>
        <v>12.611249932404862</v>
      </c>
      <c r="H155" s="65">
        <f t="shared" si="19"/>
        <v>18906.799999999952</v>
      </c>
      <c r="I155" s="65">
        <f t="shared" si="20"/>
        <v>449257.00000000035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3910.6</v>
      </c>
      <c r="C157" s="70">
        <v>11264.2</v>
      </c>
      <c r="D157" s="70">
        <f>33</f>
        <v>33</v>
      </c>
      <c r="E157" s="14"/>
      <c r="F157" s="6">
        <f t="shared" si="21"/>
        <v>0.8438602771953152</v>
      </c>
      <c r="G157" s="6">
        <f aca="true" t="shared" si="22" ref="G157:G166">D157/C157*100</f>
        <v>0.29296354823245324</v>
      </c>
      <c r="H157" s="6">
        <f>B157-D157</f>
        <v>3877.6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58</v>
      </c>
      <c r="B159" s="85">
        <v>34623.5</v>
      </c>
      <c r="C159" s="64">
        <v>253351.6</v>
      </c>
      <c r="D159" s="64">
        <f>12.5+3344.4+45.2</f>
        <v>3402.1</v>
      </c>
      <c r="E159" s="6"/>
      <c r="F159" s="6">
        <f t="shared" si="21"/>
        <v>9.825985241237888</v>
      </c>
      <c r="G159" s="6">
        <f t="shared" si="22"/>
        <v>1.3428373848833004</v>
      </c>
      <c r="H159" s="6">
        <f t="shared" si="24"/>
        <v>31221.4</v>
      </c>
      <c r="I159" s="6">
        <f t="shared" si="23"/>
        <v>249949.5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f>9501+4181.1</f>
        <v>13682.1</v>
      </c>
      <c r="D161" s="64">
        <f>49.9+127.8+39.6+53.8+398.2+8.4</f>
        <v>677.6999999999999</v>
      </c>
      <c r="E161" s="17"/>
      <c r="F161" s="6">
        <f t="shared" si="21"/>
        <v>33.7887021987336</v>
      </c>
      <c r="G161" s="6">
        <f t="shared" si="22"/>
        <v>4.953187010765891</v>
      </c>
      <c r="H161" s="6">
        <f t="shared" si="24"/>
        <v>1328</v>
      </c>
      <c r="I161" s="6">
        <f t="shared" si="23"/>
        <v>13004.4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328399.60000000003</v>
      </c>
      <c r="C166" s="87">
        <f>C149+C157+C161+C162+C158+C165+C164+C159+C163+C160</f>
        <v>1578538.9000000004</v>
      </c>
      <c r="D166" s="87">
        <f>D149+D157+D161+D162+D158+D165+D164+D159+D163+D160</f>
        <v>224369.20000000007</v>
      </c>
      <c r="E166" s="22"/>
      <c r="F166" s="3">
        <f>D166/B166*100</f>
        <v>68.3220077003748</v>
      </c>
      <c r="G166" s="3">
        <f t="shared" si="22"/>
        <v>14.21372637696797</v>
      </c>
      <c r="H166" s="3">
        <f>B166-D166</f>
        <v>104030.39999999997</v>
      </c>
      <c r="I166" s="3">
        <f t="shared" si="23"/>
        <v>1354169.7000000002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1298548.0000000002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219862.00000000006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1298548.0000000002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219862.00000000006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2016-03-17T10:01:21Z</cp:lastPrinted>
  <dcterms:created xsi:type="dcterms:W3CDTF">2000-06-20T04:48:00Z</dcterms:created>
  <dcterms:modified xsi:type="dcterms:W3CDTF">2016-03-23T06:07:04Z</dcterms:modified>
  <cp:category/>
  <cp:version/>
  <cp:contentType/>
  <cp:contentStatus/>
</cp:coreProperties>
</file>